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CLASSIFICA ASSOLUTA" sheetId="1" r:id="rId1"/>
    <sheet name="CLASSIFICA FEMMINILE" sheetId="2" r:id="rId2"/>
    <sheet name="CLASSIFICA MASTER A FEMMINILE" sheetId="3" r:id="rId3"/>
    <sheet name="CLASSIFICA MISTA" sheetId="4" r:id="rId4"/>
    <sheet name="CLASSIFICA MASCHILE" sheetId="5" r:id="rId5"/>
    <sheet name="CLASSIFICA MASTER A MASCHILE" sheetId="6" r:id="rId6"/>
    <sheet name="CLASSIFICA MASTER B MASCHILE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<sst xmlns="http://schemas.openxmlformats.org/spreadsheetml/2006/main" count="42" uniqueCount="12">
  <si>
    <t>Memorial Marco e Adri</t>
  </si>
  <si>
    <t>CLASSIFICA ASSOLUTA</t>
  </si>
  <si>
    <t>POSIZIONE</t>
  </si>
  <si>
    <t>SQUADRA</t>
  </si>
  <si>
    <t>GIRI</t>
  </si>
  <si>
    <t>TEMPO</t>
  </si>
  <si>
    <t xml:space="preserve">CLASSIFICA FEMMINILE  </t>
  </si>
  <si>
    <t>CLASSIFICA FEMMINILE MASTER A (età &gt; 90)</t>
  </si>
  <si>
    <t>CLASSIFICA MISTA</t>
  </si>
  <si>
    <t xml:space="preserve">CLASSIFICA MASCHILE </t>
  </si>
  <si>
    <t>CLASSIFICA MASCHILE MASTER A (età 80-100)</t>
  </si>
  <si>
    <t>CLASSIFICA MASCHILE  MASTER B (età &gt; 100)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</si>
</sst>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26"/>
      <name val="Arial"/>
      <family val="2"/>
    </font>
    <font>
      <b/>
      <i/>
      <sz val="31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21" fontId="8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ATLETICA%202020\MEMORIAL\MEMORIAL%20MARCO_ADRI_2020.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RA"/>
      <sheetName val="CLASSIFICA ASSOLUTA"/>
      <sheetName val="CLASSIFICA FEMM"/>
      <sheetName val="CLASSIFICA FEMM MASTER A"/>
      <sheetName val="CLASSIFICA FEMM 121 e OLTRE"/>
      <sheetName val="CLASSIFICA MISTA"/>
      <sheetName val="CLASSIFICA MASCHILE"/>
      <sheetName val="CLASSIFICA MASCHILE MASTER A"/>
      <sheetName val="CLASSIFICA MASCHILE MASTER B"/>
      <sheetName val="CONTROLLO PERCORSO"/>
    </sheetNames>
    <sheetDataSet>
      <sheetData sheetId="0">
        <row r="1">
          <cell r="A1">
            <v>2020</v>
          </cell>
        </row>
        <row r="6">
          <cell r="C6">
            <v>2.0315856481481482</v>
          </cell>
          <cell r="D6">
            <v>2.029074074074074</v>
          </cell>
          <cell r="E6">
            <v>3.0286805555555554</v>
          </cell>
          <cell r="F6">
            <v>4.028125</v>
          </cell>
          <cell r="G6">
            <v>2.0294675925925927</v>
          </cell>
          <cell r="H6">
            <v>10</v>
          </cell>
          <cell r="I6">
            <v>10</v>
          </cell>
          <cell r="J6">
            <v>10</v>
          </cell>
          <cell r="K6">
            <v>10</v>
          </cell>
          <cell r="L6">
            <v>10</v>
          </cell>
          <cell r="M6">
            <v>4.031527777777778</v>
          </cell>
          <cell r="N6">
            <v>10</v>
          </cell>
          <cell r="O6">
            <v>10</v>
          </cell>
          <cell r="P6">
            <v>10</v>
          </cell>
          <cell r="Q6">
            <v>10</v>
          </cell>
          <cell r="R6">
            <v>10</v>
          </cell>
          <cell r="S6">
            <v>10</v>
          </cell>
          <cell r="T6">
            <v>10</v>
          </cell>
          <cell r="U6">
            <v>10</v>
          </cell>
          <cell r="V6">
            <v>10</v>
          </cell>
          <cell r="W6">
            <v>10</v>
          </cell>
          <cell r="X6">
            <v>10</v>
          </cell>
          <cell r="Y6">
            <v>10</v>
          </cell>
          <cell r="Z6">
            <v>10</v>
          </cell>
          <cell r="AA6">
            <v>10</v>
          </cell>
          <cell r="AB6">
            <v>10</v>
          </cell>
          <cell r="AC6">
            <v>10</v>
          </cell>
          <cell r="AD6">
            <v>10</v>
          </cell>
          <cell r="AE6">
            <v>10</v>
          </cell>
          <cell r="AF6">
            <v>10</v>
          </cell>
          <cell r="AG6">
            <v>2.0308796296296294</v>
          </cell>
          <cell r="AH6">
            <v>2.0311458333333334</v>
          </cell>
          <cell r="AI6">
            <v>1.0286226851851852</v>
          </cell>
          <cell r="AJ6">
            <v>4.029166666666667</v>
          </cell>
          <cell r="AK6">
            <v>3.0307060185185186</v>
          </cell>
          <cell r="AL6">
            <v>3.0291087962962964</v>
          </cell>
          <cell r="AM6">
            <v>2.029212962962963</v>
          </cell>
          <cell r="AN6">
            <v>5.029652777777778</v>
          </cell>
          <cell r="AO6">
            <v>10</v>
          </cell>
          <cell r="AP6">
            <v>10</v>
          </cell>
          <cell r="AQ6">
            <v>10</v>
          </cell>
          <cell r="AR6">
            <v>10</v>
          </cell>
          <cell r="AS6">
            <v>10</v>
          </cell>
          <cell r="AT6">
            <v>10</v>
          </cell>
          <cell r="AU6">
            <v>10</v>
          </cell>
          <cell r="AV6">
            <v>1.0292708333333334</v>
          </cell>
          <cell r="AW6">
            <v>2.027951388888889</v>
          </cell>
          <cell r="AX6">
            <v>1.0308333333333333</v>
          </cell>
          <cell r="AY6">
            <v>2.029189814814815</v>
          </cell>
          <cell r="AZ6">
            <v>1.0308101851851852</v>
          </cell>
          <cell r="BA6">
            <v>1.0300347222222221</v>
          </cell>
          <cell r="BB6">
            <v>1.0294328703703703</v>
          </cell>
          <cell r="BC6">
            <v>0.03068287037037037</v>
          </cell>
          <cell r="BD6">
            <v>1.0281018518518519</v>
          </cell>
          <cell r="BE6">
            <v>0.030844907407407404</v>
          </cell>
          <cell r="BF6">
            <v>1.0286458333333333</v>
          </cell>
          <cell r="BG6">
            <v>3.0290393518518517</v>
          </cell>
          <cell r="BH6">
            <v>1.0298726851851852</v>
          </cell>
          <cell r="BI6">
            <v>10</v>
          </cell>
          <cell r="BJ6">
            <v>2.030648148148148</v>
          </cell>
          <cell r="BK6">
            <v>2.0315625</v>
          </cell>
          <cell r="BL6">
            <v>2.028611111111111</v>
          </cell>
          <cell r="BM6">
            <v>1.0282175925925925</v>
          </cell>
          <cell r="BN6">
            <v>10</v>
          </cell>
          <cell r="BO6">
            <v>10</v>
          </cell>
          <cell r="BP6">
            <v>1.0314930555555555</v>
          </cell>
          <cell r="BQ6">
            <v>2.031203703703704</v>
          </cell>
          <cell r="BR6">
            <v>3.028599537037037</v>
          </cell>
          <cell r="BS6">
            <v>3.031863425925926</v>
          </cell>
          <cell r="BT6">
            <v>10</v>
          </cell>
          <cell r="BU6">
            <v>10</v>
          </cell>
          <cell r="BV6">
            <v>10</v>
          </cell>
          <cell r="BW6">
            <v>10</v>
          </cell>
          <cell r="BX6">
            <v>10</v>
          </cell>
          <cell r="BY6">
            <v>10</v>
          </cell>
          <cell r="BZ6">
            <v>10</v>
          </cell>
          <cell r="CA6">
            <v>10</v>
          </cell>
          <cell r="CB6">
            <v>10</v>
          </cell>
          <cell r="CC6">
            <v>10</v>
          </cell>
          <cell r="CD6">
            <v>10</v>
          </cell>
          <cell r="CE6">
            <v>10</v>
          </cell>
          <cell r="CF6">
            <v>10</v>
          </cell>
          <cell r="CG6">
            <v>10</v>
          </cell>
          <cell r="CH6">
            <v>10</v>
          </cell>
          <cell r="CI6">
            <v>10</v>
          </cell>
          <cell r="CJ6">
            <v>3.0297337962962962</v>
          </cell>
          <cell r="CK6">
            <v>3.0299305555555556</v>
          </cell>
          <cell r="CL6">
            <v>4.029293981481482</v>
          </cell>
          <cell r="CM6">
            <v>3.0307523148148148</v>
          </cell>
          <cell r="CN6">
            <v>4.028819444444444</v>
          </cell>
          <cell r="CO6">
            <v>4.030208333333333</v>
          </cell>
          <cell r="CP6">
            <v>10</v>
          </cell>
          <cell r="CQ6">
            <v>10</v>
          </cell>
          <cell r="CR6">
            <v>10</v>
          </cell>
          <cell r="CS6">
            <v>10</v>
          </cell>
          <cell r="CT6">
            <v>10</v>
          </cell>
          <cell r="CU6">
            <v>10</v>
          </cell>
          <cell r="CV6">
            <v>10</v>
          </cell>
          <cell r="CW6">
            <v>10</v>
          </cell>
          <cell r="CX6">
            <v>10</v>
          </cell>
          <cell r="CY6">
            <v>10</v>
          </cell>
          <cell r="CZ6">
            <v>10</v>
          </cell>
          <cell r="DA6">
            <v>10</v>
          </cell>
          <cell r="DB6">
            <v>10</v>
          </cell>
          <cell r="DC6">
            <v>10</v>
          </cell>
        </row>
        <row r="7">
          <cell r="C7" t="str">
            <v>Ramat Miriana - Bianco Elisa</v>
          </cell>
          <cell r="D7" t="str">
            <v>Beccaria Lorenza - Scaini Alessia</v>
          </cell>
          <cell r="E7" t="str">
            <v>Pereno Camilla - Pollazzon Serena</v>
          </cell>
          <cell r="F7" t="str">
            <v>Einaudi Camilla - Roccia Alessia</v>
          </cell>
          <cell r="G7" t="str">
            <v>Vicari Axelle - Marsengo Eloisa</v>
          </cell>
          <cell r="M7" t="str">
            <v>Giordanengo Gemma - Lopez Josefina</v>
          </cell>
          <cell r="AG7" t="str">
            <v>Giordanengo Graziano - Magro Eufemia</v>
          </cell>
          <cell r="AH7" t="str">
            <v>Taliano Corrado - Almondo Elisa</v>
          </cell>
          <cell r="AI7" t="str">
            <v>Cavagna Nadir - Colli Gaia</v>
          </cell>
          <cell r="AJ7" t="str">
            <v>Bologna Andrea - Bologna Irene </v>
          </cell>
          <cell r="AK7" t="str">
            <v>Filippi Luca - Barzelloni Paola</v>
          </cell>
          <cell r="AL7" t="str">
            <v>Da Ros Francesco - Olivero Damiana</v>
          </cell>
          <cell r="AM7" t="str">
            <v>Bogliotti Lorenzo - Dentis Arianna</v>
          </cell>
          <cell r="AN7" t="str">
            <v>Ollivier Marta - Ravera Enrico</v>
          </cell>
          <cell r="AV7" t="str">
            <v>Grandis Matteo - Grandis Andrea</v>
          </cell>
          <cell r="AW7" t="str">
            <v>Griglio Fabio - Galvagno Raul</v>
          </cell>
          <cell r="AX7" t="str">
            <v>Zani Manuel - Zani Oscar</v>
          </cell>
          <cell r="AY7" t="str">
            <v>Eydallin Matteo - Menegon Alan</v>
          </cell>
          <cell r="AZ7" t="str">
            <v>Bouchard Nicholas - Stranieri Cosimo</v>
          </cell>
          <cell r="BA7" t="str">
            <v>Borgesa Daniel - Pognat Gros Samuele</v>
          </cell>
          <cell r="BB7" t="str">
            <v>Cavagna Alain - Mostacchetti Nicola</v>
          </cell>
          <cell r="BC7" t="str">
            <v>Bonzi Nicola - Baldaccini Alex</v>
          </cell>
          <cell r="BD7" t="str">
            <v>Cagnati Luca - Aymonod Henri</v>
          </cell>
          <cell r="BE7" t="str">
            <v>Dematteis Bernard - Dematteis Martin</v>
          </cell>
          <cell r="BF7" t="str">
            <v>Pelissero Andrea - Buti Nicolò</v>
          </cell>
          <cell r="BG7" t="str">
            <v>Bettoni Simone - Ramat Federico</v>
          </cell>
          <cell r="BH7" t="str">
            <v>Vair Andrea - Pagano Daniele</v>
          </cell>
          <cell r="BJ7" t="str">
            <v>Gavello Denis - Bruno Gabriele</v>
          </cell>
          <cell r="BK7" t="str">
            <v>Rosa Clot Edoardo - Cerutti Edoardo</v>
          </cell>
          <cell r="BL7" t="str">
            <v>Franzoso Stefano - Guglielmo Massimo</v>
          </cell>
          <cell r="BM7" t="str">
            <v>Bacchion Gabriele - Olocco Giovanni</v>
          </cell>
          <cell r="BP7" t="str">
            <v>Moretti Sergio - Molineri Luca</v>
          </cell>
          <cell r="BQ7" t="str">
            <v>Barberis Giovanni - Da Col Paolo</v>
          </cell>
          <cell r="BR7" t="str">
            <v>Montanari Cesare - Giorgi Fulvio</v>
          </cell>
          <cell r="BS7" t="str">
            <v>Verdoja Gabriele - Michiardi Stefano</v>
          </cell>
          <cell r="CJ7" t="str">
            <v>Azzalin Luigino - Minuz Maurizio</v>
          </cell>
          <cell r="CK7" t="str">
            <v>Gentile Aldo - Ortuso Domenico</v>
          </cell>
          <cell r="CL7" t="str">
            <v>Crosio Daniele - Chiappello Sergio</v>
          </cell>
          <cell r="CM7" t="str">
            <v>Tosa Raffaello - Fontan Pierpaolo</v>
          </cell>
          <cell r="CN7" t="str">
            <v>Fontan Giulio - Humbert Lello</v>
          </cell>
          <cell r="CO7" t="str">
            <v>Giacone Michele - Barra Gabriele</v>
          </cell>
        </row>
        <row r="8">
          <cell r="C8">
            <v>8</v>
          </cell>
          <cell r="D8">
            <v>8</v>
          </cell>
          <cell r="E8">
            <v>7</v>
          </cell>
          <cell r="F8">
            <v>6</v>
          </cell>
          <cell r="G8">
            <v>8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6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8</v>
          </cell>
          <cell r="AH8">
            <v>8</v>
          </cell>
          <cell r="AI8">
            <v>9</v>
          </cell>
          <cell r="AJ8">
            <v>6</v>
          </cell>
          <cell r="AK8">
            <v>7</v>
          </cell>
          <cell r="AL8">
            <v>7</v>
          </cell>
          <cell r="AM8">
            <v>8</v>
          </cell>
          <cell r="AN8">
            <v>5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9</v>
          </cell>
          <cell r="AW8">
            <v>8</v>
          </cell>
          <cell r="AX8">
            <v>9</v>
          </cell>
          <cell r="AY8">
            <v>8</v>
          </cell>
          <cell r="AZ8">
            <v>9</v>
          </cell>
          <cell r="BA8">
            <v>9</v>
          </cell>
          <cell r="BB8">
            <v>9</v>
          </cell>
          <cell r="BC8">
            <v>10</v>
          </cell>
          <cell r="BD8">
            <v>9</v>
          </cell>
          <cell r="BE8">
            <v>10</v>
          </cell>
          <cell r="BF8">
            <v>9</v>
          </cell>
          <cell r="BG8">
            <v>7</v>
          </cell>
          <cell r="BH8">
            <v>9</v>
          </cell>
          <cell r="BI8">
            <v>0</v>
          </cell>
          <cell r="BJ8">
            <v>8</v>
          </cell>
          <cell r="BK8">
            <v>8</v>
          </cell>
          <cell r="BL8">
            <v>8</v>
          </cell>
          <cell r="BM8">
            <v>9</v>
          </cell>
          <cell r="BN8">
            <v>0</v>
          </cell>
          <cell r="BO8">
            <v>0</v>
          </cell>
          <cell r="BP8">
            <v>9</v>
          </cell>
          <cell r="BQ8">
            <v>8</v>
          </cell>
          <cell r="BR8">
            <v>7</v>
          </cell>
          <cell r="BS8">
            <v>7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7</v>
          </cell>
          <cell r="CK8">
            <v>7</v>
          </cell>
          <cell r="CL8">
            <v>6</v>
          </cell>
          <cell r="CM8">
            <v>7</v>
          </cell>
          <cell r="CN8">
            <v>6</v>
          </cell>
          <cell r="CO8">
            <v>6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3" sqref="A3:D3"/>
    </sheetView>
  </sheetViews>
  <sheetFormatPr defaultColWidth="9.140625" defaultRowHeight="15"/>
  <cols>
    <col min="1" max="1" width="13.7109375" style="0" bestFit="1" customWidth="1"/>
    <col min="2" max="2" width="42.00390625" style="0" bestFit="1" customWidth="1"/>
    <col min="4" max="4" width="10.140625" style="0" bestFit="1" customWidth="1"/>
  </cols>
  <sheetData>
    <row r="1" spans="1:4" ht="39">
      <c r="A1" s="6" t="s">
        <v>0</v>
      </c>
      <c r="B1" s="6"/>
      <c r="C1" s="7">
        <f>'[1]GARA'!A1</f>
        <v>2020</v>
      </c>
      <c r="D1" s="7"/>
    </row>
    <row r="3" spans="1:4" ht="24">
      <c r="A3" s="10" t="s">
        <v>1</v>
      </c>
      <c r="B3" s="11"/>
      <c r="C3" s="11"/>
      <c r="D3" s="11"/>
    </row>
    <row r="6" spans="1:4" ht="15">
      <c r="A6" s="1" t="s">
        <v>2</v>
      </c>
      <c r="B6" s="1" t="s">
        <v>3</v>
      </c>
      <c r="C6" s="1" t="s">
        <v>4</v>
      </c>
      <c r="D6" s="1" t="s">
        <v>5</v>
      </c>
    </row>
    <row r="7" spans="1:4" ht="21">
      <c r="A7" s="2">
        <v>1</v>
      </c>
      <c r="B7" s="3" t="str">
        <f>HLOOKUP(D7,'[1]GARA'!C6:DC7,2,FALSE)</f>
        <v>Bonzi Nicola - Baldaccini Alex</v>
      </c>
      <c r="C7" s="4">
        <f>LARGE('[1]GARA'!$C$8:$DC$8,1)</f>
        <v>10</v>
      </c>
      <c r="D7" s="5">
        <f>SMALL('[1]GARA'!$C$6:$DC$6,1)</f>
        <v>0.03068287037037037</v>
      </c>
    </row>
    <row r="8" spans="1:4" ht="21">
      <c r="A8" s="2">
        <v>2</v>
      </c>
      <c r="B8" s="3" t="str">
        <f>HLOOKUP(D8,'[1]GARA'!C6:DC7,2,FALSE)</f>
        <v>Dematteis Bernard - Dematteis Martin</v>
      </c>
      <c r="C8" s="4">
        <f>LARGE('[1]GARA'!$C$8:$DC$8,2)</f>
        <v>10</v>
      </c>
      <c r="D8" s="5">
        <f>SMALL('[1]GARA'!$C$6:$DC$6,2)</f>
        <v>0.030844907407407404</v>
      </c>
    </row>
    <row r="9" spans="1:4" ht="21">
      <c r="A9" s="2">
        <v>3</v>
      </c>
      <c r="B9" s="3" t="str">
        <f>HLOOKUP(D9,'[1]GARA'!C6:DC7,2,FALSE)</f>
        <v>Cagnati Luca - Aymonod Henri</v>
      </c>
      <c r="C9" s="4">
        <f>LARGE('[1]GARA'!$C$8:$DC$8,3)</f>
        <v>9</v>
      </c>
      <c r="D9" s="5">
        <f>SMALL('[1]GARA'!$C$6:$DC$6,3)</f>
        <v>1.0281018518518519</v>
      </c>
    </row>
    <row r="10" spans="1:4" ht="21">
      <c r="A10" s="2">
        <v>4</v>
      </c>
      <c r="B10" s="3" t="str">
        <f>HLOOKUP(D10,'[1]GARA'!C6:DC7,2,FALSE)</f>
        <v>Bacchion Gabriele - Olocco Giovanni</v>
      </c>
      <c r="C10" s="4">
        <f>LARGE('[1]GARA'!$C$8:$DC$8,4)</f>
        <v>9</v>
      </c>
      <c r="D10" s="5">
        <f>SMALL('[1]GARA'!$C$6:$DC$6,4)</f>
        <v>1.0282175925925925</v>
      </c>
    </row>
    <row r="11" spans="1:4" ht="21">
      <c r="A11" s="2">
        <v>5</v>
      </c>
      <c r="B11" s="3" t="str">
        <f>HLOOKUP(D11,'[1]GARA'!C6:DC7,2,FALSE)</f>
        <v>Cavagna Nadir - Colli Gaia</v>
      </c>
      <c r="C11" s="4">
        <f>LARGE('[1]GARA'!$C$8:$DC$8,5)</f>
        <v>9</v>
      </c>
      <c r="D11" s="5">
        <f>SMALL('[1]GARA'!$C$6:$DC$6,5)</f>
        <v>1.0286226851851852</v>
      </c>
    </row>
    <row r="12" spans="1:4" ht="21">
      <c r="A12" s="2">
        <v>6</v>
      </c>
      <c r="B12" s="3" t="str">
        <f>HLOOKUP(D12,'[1]GARA'!C6:DC7,2,FALSE)</f>
        <v>Pelissero Andrea - Buti Nicolò</v>
      </c>
      <c r="C12" s="4">
        <f>LARGE('[1]GARA'!$C$8:$DC$8,6)</f>
        <v>9</v>
      </c>
      <c r="D12" s="5">
        <f>SMALL('[1]GARA'!$C$6:$DC$6,6)</f>
        <v>1.0286458333333333</v>
      </c>
    </row>
    <row r="13" spans="1:4" ht="21">
      <c r="A13" s="2">
        <v>7</v>
      </c>
      <c r="B13" s="3" t="str">
        <f>HLOOKUP(D13,'[1]GARA'!C6:DC7,2,FALSE)</f>
        <v>Grandis Matteo - Grandis Andrea</v>
      </c>
      <c r="C13" s="4">
        <f>LARGE('[1]GARA'!$C$8:$DC$8,7)</f>
        <v>9</v>
      </c>
      <c r="D13" s="5">
        <f>SMALL('[1]GARA'!$C$6:$DC$6,7)</f>
        <v>1.0292708333333334</v>
      </c>
    </row>
    <row r="14" spans="1:4" ht="21">
      <c r="A14" s="2">
        <v>8</v>
      </c>
      <c r="B14" s="3" t="str">
        <f>HLOOKUP(D14,'[1]GARA'!C6:DC7,2,FALSE)</f>
        <v>Cavagna Alain - Mostacchetti Nicola</v>
      </c>
      <c r="C14" s="4">
        <f>LARGE('[1]GARA'!$C$8:$DC$8,8)</f>
        <v>9</v>
      </c>
      <c r="D14" s="5">
        <f>SMALL('[1]GARA'!$C$6:$DC$6,8)</f>
        <v>1.0294328703703703</v>
      </c>
    </row>
    <row r="15" spans="1:4" ht="21">
      <c r="A15" s="2">
        <v>9</v>
      </c>
      <c r="B15" s="3" t="str">
        <f>HLOOKUP(D15,'[1]GARA'!C6:DC7,2,FALSE)</f>
        <v>Vair Andrea - Pagano Daniele</v>
      </c>
      <c r="C15" s="4">
        <f>LARGE('[1]GARA'!$C$8:$DC$8,9)</f>
        <v>9</v>
      </c>
      <c r="D15" s="5">
        <f>SMALL('[1]GARA'!$C$6:$DC$6,9)</f>
        <v>1.0298726851851852</v>
      </c>
    </row>
    <row r="16" spans="1:4" ht="21">
      <c r="A16" s="2">
        <v>10</v>
      </c>
      <c r="B16" s="3" t="str">
        <f>HLOOKUP(D16,'[1]GARA'!C6:DC7,2,FALSE)</f>
        <v>Borgesa Daniel - Pognat Gros Samuele</v>
      </c>
      <c r="C16" s="4">
        <f>LARGE('[1]GARA'!$C$8:$DC$8,10)</f>
        <v>9</v>
      </c>
      <c r="D16" s="5">
        <f>SMALL('[1]GARA'!$C$6:$DC$6,10)</f>
        <v>1.0300347222222221</v>
      </c>
    </row>
    <row r="17" spans="1:4" ht="21">
      <c r="A17" s="2">
        <v>11</v>
      </c>
      <c r="B17" s="3" t="str">
        <f>HLOOKUP(D17,'[1]GARA'!C6:DC7,2,FALSE)</f>
        <v>Bouchard Nicholas - Stranieri Cosimo</v>
      </c>
      <c r="C17" s="4">
        <f>LARGE('[1]GARA'!$C$8:$DC$8,11)</f>
        <v>9</v>
      </c>
      <c r="D17" s="5">
        <f>SMALL('[1]GARA'!$C$6:$DC$6,11)</f>
        <v>1.0308101851851852</v>
      </c>
    </row>
    <row r="18" spans="1:4" ht="21">
      <c r="A18" s="2">
        <v>12</v>
      </c>
      <c r="B18" s="3" t="str">
        <f>HLOOKUP(D18,'[1]GARA'!C6:DC7,2,FALSE)</f>
        <v>Zani Manuel - Zani Oscar</v>
      </c>
      <c r="C18" s="4">
        <f>LARGE('[1]GARA'!$C$8:$DC$8,12)</f>
        <v>9</v>
      </c>
      <c r="D18" s="5">
        <f>SMALL('[1]GARA'!$C$6:$DC$6,12)</f>
        <v>1.0308333333333333</v>
      </c>
    </row>
    <row r="19" spans="1:4" ht="21">
      <c r="A19" s="2">
        <v>13</v>
      </c>
      <c r="B19" s="3" t="str">
        <f>HLOOKUP(D19,'[1]GARA'!C6:DC7,2,FALSE)</f>
        <v>Moretti Sergio - Molineri Luca</v>
      </c>
      <c r="C19" s="4">
        <f>LARGE('[1]GARA'!$C$8:$DC$8,13)</f>
        <v>9</v>
      </c>
      <c r="D19" s="5">
        <f>SMALL('[1]GARA'!$C$6:$DC$6,13)</f>
        <v>1.0314930555555555</v>
      </c>
    </row>
    <row r="20" spans="1:4" ht="21">
      <c r="A20" s="2">
        <v>14</v>
      </c>
      <c r="B20" s="3" t="str">
        <f>HLOOKUP(D20,'[1]GARA'!C6:DC7,2,FALSE)</f>
        <v>Griglio Fabio - Galvagno Raul</v>
      </c>
      <c r="C20" s="4">
        <f>LARGE('[1]GARA'!$C$8:$DC$8,14)</f>
        <v>8</v>
      </c>
      <c r="D20" s="5">
        <f>SMALL('[1]GARA'!$C$6:$DC$6,14)</f>
        <v>2.027951388888889</v>
      </c>
    </row>
    <row r="21" spans="1:4" ht="21">
      <c r="A21" s="2">
        <v>15</v>
      </c>
      <c r="B21" s="3" t="str">
        <f>HLOOKUP(D21,'[1]GARA'!C6:DC7,2,FALSE)</f>
        <v>Franzoso Stefano - Guglielmo Massimo</v>
      </c>
      <c r="C21" s="4">
        <f>LARGE('[1]GARA'!$C$8:$DC$8,15)</f>
        <v>8</v>
      </c>
      <c r="D21" s="5">
        <f>SMALL('[1]GARA'!$C$6:$DC$6,15)</f>
        <v>2.028611111111111</v>
      </c>
    </row>
    <row r="22" spans="1:4" ht="21">
      <c r="A22" s="2">
        <v>16</v>
      </c>
      <c r="B22" s="3" t="str">
        <f>HLOOKUP(D22,'[1]GARA'!C6:DC7,2,FALSE)</f>
        <v>Beccaria Lorenza - Scaini Alessia</v>
      </c>
      <c r="C22" s="4">
        <f>LARGE('[1]GARA'!$C$8:$DC$8,16)</f>
        <v>8</v>
      </c>
      <c r="D22" s="5">
        <f>SMALL('[1]GARA'!$C$6:$DC$6,16)</f>
        <v>2.029074074074074</v>
      </c>
    </row>
    <row r="23" spans="1:4" ht="21">
      <c r="A23" s="2">
        <v>17</v>
      </c>
      <c r="B23" s="3" t="str">
        <f>HLOOKUP(D23,'[1]GARA'!C6:DC7,2,FALSE)</f>
        <v>Eydallin Matteo - Menegon Alan</v>
      </c>
      <c r="C23" s="4">
        <f>LARGE('[1]GARA'!$C$8:$DC$8,17)</f>
        <v>8</v>
      </c>
      <c r="D23" s="5">
        <f>SMALL('[1]GARA'!$C$6:$DC$6,17)</f>
        <v>2.029189814814815</v>
      </c>
    </row>
    <row r="24" spans="1:4" ht="21">
      <c r="A24" s="2">
        <v>18</v>
      </c>
      <c r="B24" s="3" t="str">
        <f>HLOOKUP(D24,'[1]GARA'!C6:DC7,2,FALSE)</f>
        <v>Bogliotti Lorenzo - Dentis Arianna</v>
      </c>
      <c r="C24" s="4">
        <f>LARGE('[1]GARA'!$C$8:$DC$8,18)</f>
        <v>8</v>
      </c>
      <c r="D24" s="5">
        <f>SMALL('[1]GARA'!$C$6:$DC$6,18)</f>
        <v>2.029212962962963</v>
      </c>
    </row>
    <row r="25" spans="1:4" ht="21">
      <c r="A25" s="2">
        <v>19</v>
      </c>
      <c r="B25" s="3" t="str">
        <f>HLOOKUP(D25,'[1]GARA'!C6:DC7,2,FALSE)</f>
        <v>Vicari Axelle - Marsengo Eloisa</v>
      </c>
      <c r="C25" s="4">
        <f>LARGE('[1]GARA'!$C$8:$DC$8,18)</f>
        <v>8</v>
      </c>
      <c r="D25" s="5">
        <f>SMALL('[1]GARA'!$C$6:$DC$6,19)</f>
        <v>2.0294675925925927</v>
      </c>
    </row>
    <row r="26" spans="1:4" ht="21">
      <c r="A26" s="2">
        <v>20</v>
      </c>
      <c r="B26" s="3" t="str">
        <f>HLOOKUP(D26,'[1]GARA'!C6:DC7,2,FALSE)</f>
        <v>Gavello Denis - Bruno Gabriele</v>
      </c>
      <c r="C26" s="4">
        <f>LARGE('[1]GARA'!$C$8:$DC$8,20)</f>
        <v>8</v>
      </c>
      <c r="D26" s="5">
        <f>SMALL('[1]GARA'!$C$6:$DC$6,20)</f>
        <v>2.030648148148148</v>
      </c>
    </row>
    <row r="27" spans="1:4" ht="21">
      <c r="A27" s="2">
        <v>21</v>
      </c>
      <c r="B27" s="3" t="str">
        <f>HLOOKUP(D27,'[1]GARA'!C6:DC7,2,FALSE)</f>
        <v>Giordanengo Graziano - Magro Eufemia</v>
      </c>
      <c r="C27" s="4">
        <f>LARGE('[1]GARA'!$C$8:$DC$8,21)</f>
        <v>8</v>
      </c>
      <c r="D27" s="5">
        <f>SMALL('[1]GARA'!$C$6:$DC$6,21)</f>
        <v>2.0308796296296294</v>
      </c>
    </row>
    <row r="28" spans="1:4" ht="21">
      <c r="A28" s="2">
        <v>22</v>
      </c>
      <c r="B28" s="3" t="str">
        <f>HLOOKUP(D28,'[1]GARA'!C6:DC7,2,FALSE)</f>
        <v>Taliano Corrado - Almondo Elisa</v>
      </c>
      <c r="C28" s="4">
        <f>LARGE('[1]GARA'!$C$8:$DC$8,22)</f>
        <v>8</v>
      </c>
      <c r="D28" s="5">
        <f>SMALL('[1]GARA'!$C$6:$DC$6,22)</f>
        <v>2.0311458333333334</v>
      </c>
    </row>
    <row r="29" spans="1:4" ht="21">
      <c r="A29" s="2">
        <v>23</v>
      </c>
      <c r="B29" s="3" t="str">
        <f>HLOOKUP(D29,'[1]GARA'!C6:DC7,2,FALSE)</f>
        <v>Barberis Giovanni - Da Col Paolo</v>
      </c>
      <c r="C29" s="4">
        <f>LARGE('[1]GARA'!$C$8:$DC$8,23)</f>
        <v>8</v>
      </c>
      <c r="D29" s="5">
        <f>SMALL('[1]GARA'!$C$6:$DC$6,23)</f>
        <v>2.031203703703704</v>
      </c>
    </row>
    <row r="30" spans="1:4" ht="21">
      <c r="A30" s="2">
        <v>24</v>
      </c>
      <c r="B30" s="3" t="str">
        <f>HLOOKUP(D30,'[1]GARA'!C6:DC7,2,FALSE)</f>
        <v>Rosa Clot Edoardo - Cerutti Edoardo</v>
      </c>
      <c r="C30" s="4">
        <f>LARGE('[1]GARA'!$C$8:$DC$8,24)</f>
        <v>8</v>
      </c>
      <c r="D30" s="5">
        <f>SMALL('[1]GARA'!$C$6:$DC$6,24)</f>
        <v>2.0315625</v>
      </c>
    </row>
    <row r="31" spans="1:4" ht="21">
      <c r="A31" s="2">
        <v>25</v>
      </c>
      <c r="B31" s="3" t="str">
        <f>HLOOKUP(D31,'[1]GARA'!C6:DC7,2,FALSE)</f>
        <v>Ramat Miriana - Bianco Elisa</v>
      </c>
      <c r="C31" s="4">
        <f>LARGE('[1]GARA'!$C$8:$DC$8,25)</f>
        <v>8</v>
      </c>
      <c r="D31" s="5">
        <f>SMALL('[1]GARA'!$C$6:$DC$6,25)</f>
        <v>2.0315856481481482</v>
      </c>
    </row>
    <row r="32" spans="1:4" ht="21">
      <c r="A32" s="2">
        <v>26</v>
      </c>
      <c r="B32" s="3" t="str">
        <f>HLOOKUP(D32,'[1]GARA'!C6:DC7,2,FALSE)</f>
        <v>Montanari Cesare - Giorgi Fulvio</v>
      </c>
      <c r="C32" s="4">
        <f>LARGE('[1]GARA'!$C$8:$DC$8,26)</f>
        <v>7</v>
      </c>
      <c r="D32" s="5">
        <f>SMALL('[1]GARA'!$C$6:$DC$6,26)</f>
        <v>3.028599537037037</v>
      </c>
    </row>
    <row r="33" spans="1:4" ht="21">
      <c r="A33" s="2">
        <v>27</v>
      </c>
      <c r="B33" s="3" t="str">
        <f>HLOOKUP(D33,'[1]GARA'!C6:DC7,2,FALSE)</f>
        <v>Pereno Camilla - Pollazzon Serena</v>
      </c>
      <c r="C33" s="4">
        <f>LARGE('[1]GARA'!$C$8:$DC$8,27)</f>
        <v>7</v>
      </c>
      <c r="D33" s="5">
        <f>SMALL('[1]GARA'!$C$6:$DC$6,27)</f>
        <v>3.0286805555555554</v>
      </c>
    </row>
    <row r="34" spans="1:4" ht="21">
      <c r="A34" s="2">
        <v>28</v>
      </c>
      <c r="B34" s="3" t="str">
        <f>HLOOKUP(D34,'[1]GARA'!C6:DC7,2,FALSE)</f>
        <v>Bettoni Simone - Ramat Federico</v>
      </c>
      <c r="C34" s="4">
        <f>LARGE('[1]GARA'!$C$8:$DC$8,28)</f>
        <v>7</v>
      </c>
      <c r="D34" s="5">
        <f>SMALL('[1]GARA'!$C$6:$DC$6,28)</f>
        <v>3.0290393518518517</v>
      </c>
    </row>
    <row r="35" spans="1:4" ht="21">
      <c r="A35" s="2">
        <v>29</v>
      </c>
      <c r="B35" s="3" t="str">
        <f>HLOOKUP(D35,'[1]GARA'!C6:DC7,2,FALSE)</f>
        <v>Da Ros Francesco - Olivero Damiana</v>
      </c>
      <c r="C35" s="4">
        <f>LARGE('[1]GARA'!$C$8:$DC$8,29)</f>
        <v>7</v>
      </c>
      <c r="D35" s="5">
        <f>SMALL('[1]GARA'!$C$6:$DC$6,29)</f>
        <v>3.0291087962962964</v>
      </c>
    </row>
    <row r="36" spans="1:4" ht="21">
      <c r="A36" s="2">
        <v>30</v>
      </c>
      <c r="B36" s="3" t="str">
        <f>HLOOKUP(D36,'[1]GARA'!C6:DC7,2,FALSE)</f>
        <v>Azzalin Luigino - Minuz Maurizio</v>
      </c>
      <c r="C36" s="4">
        <f>LARGE('[1]GARA'!$C$8:$DC$8,30)</f>
        <v>7</v>
      </c>
      <c r="D36" s="5">
        <f>SMALL('[1]GARA'!$C$6:$DC$6,30)</f>
        <v>3.0297337962962962</v>
      </c>
    </row>
    <row r="37" spans="1:4" ht="21">
      <c r="A37" s="2">
        <v>31</v>
      </c>
      <c r="B37" s="3" t="str">
        <f>HLOOKUP(D37,'[1]GARA'!C6:DC7,2,FALSE)</f>
        <v>Gentile Aldo - Ortuso Domenico</v>
      </c>
      <c r="C37" s="4">
        <f>LARGE('[1]GARA'!$C$8:$DC$8,31)</f>
        <v>7</v>
      </c>
      <c r="D37" s="5">
        <f>SMALL('[1]GARA'!$C$6:$DC$6,31)</f>
        <v>3.0299305555555556</v>
      </c>
    </row>
    <row r="38" spans="1:4" ht="21">
      <c r="A38" s="2">
        <v>32</v>
      </c>
      <c r="B38" s="3" t="str">
        <f>HLOOKUP(D38,'[1]GARA'!C6:DC7,2,FALSE)</f>
        <v>Filippi Luca - Barzelloni Paola</v>
      </c>
      <c r="C38" s="4">
        <f>LARGE('[1]GARA'!$C$8:$DC$8,32)</f>
        <v>7</v>
      </c>
      <c r="D38" s="5">
        <f>SMALL('[1]GARA'!$C$6:$DC$6,32)</f>
        <v>3.0307060185185186</v>
      </c>
    </row>
    <row r="39" spans="1:4" ht="21">
      <c r="A39" s="2">
        <v>33</v>
      </c>
      <c r="B39" s="3" t="str">
        <f>HLOOKUP(D39,'[1]GARA'!C6:DC7,2,FALSE)</f>
        <v>Tosa Raffaello - Fontan Pierpaolo</v>
      </c>
      <c r="C39" s="4">
        <f>LARGE('[1]GARA'!$C$8:$DC$8,33)</f>
        <v>7</v>
      </c>
      <c r="D39" s="5">
        <f>SMALL('[1]GARA'!$C$6:$DC$6,33)</f>
        <v>3.0307523148148148</v>
      </c>
    </row>
    <row r="40" spans="1:4" ht="21">
      <c r="A40" s="2">
        <v>34</v>
      </c>
      <c r="B40" s="3" t="str">
        <f>HLOOKUP(D40,'[1]GARA'!C6:DC7,2,FALSE)</f>
        <v>Verdoja Gabriele - Michiardi Stefano</v>
      </c>
      <c r="C40" s="4">
        <f>LARGE('[1]GARA'!$C$8:$DC$8,34)</f>
        <v>7</v>
      </c>
      <c r="D40" s="5">
        <f>SMALL('[1]GARA'!$C$6:$DC$6,34)</f>
        <v>3.031863425925926</v>
      </c>
    </row>
    <row r="41" spans="1:4" ht="21">
      <c r="A41" s="2">
        <v>35</v>
      </c>
      <c r="B41" s="3" t="str">
        <f>HLOOKUP(D41,'[1]GARA'!C6:DC7,2,FALSE)</f>
        <v>Einaudi Camilla - Roccia Alessia</v>
      </c>
      <c r="C41" s="4">
        <f>LARGE('[1]GARA'!$C$8:$DC$8,35)</f>
        <v>6</v>
      </c>
      <c r="D41" s="5">
        <f>SMALL('[1]GARA'!$C$6:$DC$6,35)</f>
        <v>4.028125</v>
      </c>
    </row>
    <row r="42" spans="1:4" ht="21">
      <c r="A42" s="2">
        <v>36</v>
      </c>
      <c r="B42" s="3" t="str">
        <f>HLOOKUP(D42,'[1]GARA'!C6:DC7,2,FALSE)</f>
        <v>Fontan Giulio - Humbert Lello</v>
      </c>
      <c r="C42" s="4">
        <f>LARGE('[1]GARA'!$C$8:$DC$8,36)</f>
        <v>6</v>
      </c>
      <c r="D42" s="5">
        <f>SMALL('[1]GARA'!$C$6:$DC$6,36)</f>
        <v>4.028819444444444</v>
      </c>
    </row>
    <row r="43" spans="1:4" ht="21">
      <c r="A43" s="2">
        <v>37</v>
      </c>
      <c r="B43" s="3" t="str">
        <f>HLOOKUP(D43,'[1]GARA'!C6:DC7,2,FALSE)</f>
        <v>Bologna Andrea - Bologna Irene </v>
      </c>
      <c r="C43" s="4">
        <f>LARGE('[1]GARA'!$C$8:$DC$8,37)</f>
        <v>6</v>
      </c>
      <c r="D43" s="5">
        <f>SMALL('[1]GARA'!$C$6:$DC$6,37)</f>
        <v>4.029166666666667</v>
      </c>
    </row>
    <row r="44" spans="1:4" ht="21">
      <c r="A44" s="2">
        <v>38</v>
      </c>
      <c r="B44" s="3" t="str">
        <f>HLOOKUP(D44,'[1]GARA'!C6:DC7,2,FALSE)</f>
        <v>Crosio Daniele - Chiappello Sergio</v>
      </c>
      <c r="C44" s="4">
        <f>LARGE('[1]GARA'!$C$8:$DC$8,38)</f>
        <v>6</v>
      </c>
      <c r="D44" s="5">
        <f>SMALL('[1]GARA'!$C$6:$DC$6,38)</f>
        <v>4.029293981481482</v>
      </c>
    </row>
    <row r="45" spans="1:4" ht="21">
      <c r="A45" s="2">
        <v>39</v>
      </c>
      <c r="B45" s="3" t="str">
        <f>HLOOKUP(D45,'[1]GARA'!C6:DC7,2,FALSE)</f>
        <v>Giacone Michele - Barra Gabriele</v>
      </c>
      <c r="C45" s="4">
        <f>LARGE('[1]GARA'!$C$8:$DC$8,39)</f>
        <v>6</v>
      </c>
      <c r="D45" s="5">
        <f>SMALL('[1]GARA'!$C$6:$DC$6,39)</f>
        <v>4.030208333333333</v>
      </c>
    </row>
    <row r="46" spans="1:4" ht="21">
      <c r="A46" s="2">
        <v>40</v>
      </c>
      <c r="B46" s="3" t="str">
        <f>HLOOKUP(D46,'[1]GARA'!C6:DC7,2,FALSE)</f>
        <v>Giordanengo Gemma - Lopez Josefina</v>
      </c>
      <c r="C46" s="4">
        <f>LARGE('[1]GARA'!$C$8:$DC$8,40)</f>
        <v>6</v>
      </c>
      <c r="D46" s="5">
        <f>SMALL('[1]GARA'!$C$6:$DC$6,40)</f>
        <v>4.031527777777778</v>
      </c>
    </row>
  </sheetData>
  <sheetProtection/>
  <mergeCells count="3">
    <mergeCell ref="A1:B1"/>
    <mergeCell ref="C1:D1"/>
    <mergeCell ref="A3:D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12.7109375" style="0" bestFit="1" customWidth="1"/>
    <col min="2" max="2" width="49.28125" style="0" customWidth="1"/>
    <col min="4" max="4" width="10.140625" style="0" bestFit="1" customWidth="1"/>
  </cols>
  <sheetData>
    <row r="1" spans="1:4" ht="39">
      <c r="A1" s="6" t="s">
        <v>0</v>
      </c>
      <c r="B1" s="6"/>
      <c r="C1" s="7">
        <f>'[1]GARA'!A1</f>
        <v>2020</v>
      </c>
      <c r="D1" s="7"/>
    </row>
    <row r="3" spans="1:4" ht="24">
      <c r="A3" s="10" t="s">
        <v>6</v>
      </c>
      <c r="B3" s="11"/>
      <c r="C3" s="11"/>
      <c r="D3" s="11"/>
    </row>
    <row r="7" spans="1:4" ht="15">
      <c r="A7" s="1" t="s">
        <v>2</v>
      </c>
      <c r="B7" s="1" t="s">
        <v>3</v>
      </c>
      <c r="C7" s="1" t="s">
        <v>4</v>
      </c>
      <c r="D7" s="1" t="s">
        <v>5</v>
      </c>
    </row>
    <row r="8" spans="1:4" ht="21">
      <c r="A8" s="2">
        <v>1</v>
      </c>
      <c r="B8" s="3" t="str">
        <f>HLOOKUP(D8,'[1]GARA'!C6:L7,2,FALSE)</f>
        <v>Beccaria Lorenza - Scaini Alessia</v>
      </c>
      <c r="C8" s="4">
        <f>LARGE('[1]GARA'!$C$8:$L$8,1)</f>
        <v>8</v>
      </c>
      <c r="D8" s="5">
        <f>SMALL('[1]GARA'!$C$6:$L$6,1)</f>
        <v>2.029074074074074</v>
      </c>
    </row>
    <row r="9" spans="1:4" ht="21">
      <c r="A9" s="2">
        <v>2</v>
      </c>
      <c r="B9" s="3" t="str">
        <f>HLOOKUP(D9,'[1]GARA'!C6:L7,2,FALSE)</f>
        <v>Vicari Axelle - Marsengo Eloisa</v>
      </c>
      <c r="C9" s="4">
        <f>LARGE('[1]GARA'!$C$8:$L$8,2)</f>
        <v>8</v>
      </c>
      <c r="D9" s="5">
        <f>SMALL('[1]GARA'!$C$6:$L$6,2)</f>
        <v>2.0294675925925927</v>
      </c>
    </row>
    <row r="10" spans="1:4" ht="21">
      <c r="A10" s="2">
        <v>3</v>
      </c>
      <c r="B10" s="3" t="str">
        <f>HLOOKUP(D10,'[1]GARA'!C6:L7,2,FALSE)</f>
        <v>Ramat Miriana - Bianco Elisa</v>
      </c>
      <c r="C10" s="4">
        <f>LARGE('[1]GARA'!$C$8:$L$8,3)</f>
        <v>8</v>
      </c>
      <c r="D10" s="5">
        <f>SMALL('[1]GARA'!$C$6:$L$6,3)</f>
        <v>2.0315856481481482</v>
      </c>
    </row>
    <row r="11" spans="1:4" ht="21">
      <c r="A11" s="2">
        <v>4</v>
      </c>
      <c r="B11" s="3" t="str">
        <f>HLOOKUP(D11,'[1]GARA'!C6:L7,2,FALSE)</f>
        <v>Pereno Camilla - Pollazzon Serena</v>
      </c>
      <c r="C11" s="4">
        <f>LARGE('[1]GARA'!$C$8:$L$8,4)</f>
        <v>7</v>
      </c>
      <c r="D11" s="5">
        <f>SMALL('[1]GARA'!$C$6:$L$6,4)</f>
        <v>3.0286805555555554</v>
      </c>
    </row>
    <row r="12" spans="1:4" ht="21">
      <c r="A12" s="2">
        <v>5</v>
      </c>
      <c r="B12" s="3" t="str">
        <f>HLOOKUP(D12,'[1]GARA'!C6:L7,2,FALSE)</f>
        <v>Einaudi Camilla - Roccia Alessia</v>
      </c>
      <c r="C12" s="4">
        <f>LARGE('[1]GARA'!$C$8:$L$8,5)</f>
        <v>6</v>
      </c>
      <c r="D12" s="5">
        <f>SMALL('[1]GARA'!$C$6:$L$6,5)</f>
        <v>4.028125</v>
      </c>
    </row>
  </sheetData>
  <sheetProtection/>
  <mergeCells count="3">
    <mergeCell ref="A1:B1"/>
    <mergeCell ref="C1:D1"/>
    <mergeCell ref="A3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13.7109375" style="0" bestFit="1" customWidth="1"/>
    <col min="2" max="2" width="40.8515625" style="0" bestFit="1" customWidth="1"/>
    <col min="4" max="4" width="18.421875" style="0" customWidth="1"/>
  </cols>
  <sheetData>
    <row r="1" spans="1:4" ht="39">
      <c r="A1" s="6" t="s">
        <v>0</v>
      </c>
      <c r="B1" s="6"/>
      <c r="C1" s="7">
        <f>'[1]GARA'!A1</f>
        <v>2020</v>
      </c>
      <c r="D1" s="7"/>
    </row>
    <row r="3" spans="1:4" ht="24">
      <c r="A3" s="8" t="s">
        <v>7</v>
      </c>
      <c r="B3" s="9"/>
      <c r="C3" s="9"/>
      <c r="D3" s="9"/>
    </row>
    <row r="7" spans="1:4" ht="15">
      <c r="A7" s="1" t="s">
        <v>2</v>
      </c>
      <c r="B7" s="1" t="s">
        <v>3</v>
      </c>
      <c r="C7" s="1" t="s">
        <v>4</v>
      </c>
      <c r="D7" s="1" t="s">
        <v>5</v>
      </c>
    </row>
    <row r="8" spans="1:4" ht="21">
      <c r="A8" s="2">
        <v>1</v>
      </c>
      <c r="B8" s="3" t="str">
        <f>HLOOKUP(D8,'[1]GARA'!M6:V7,2,FALSE)</f>
        <v>Giordanengo Gemma - Lopez Josefina</v>
      </c>
      <c r="C8" s="4">
        <f>LARGE('[1]GARA'!$M$8:$V$8,1)</f>
        <v>6</v>
      </c>
      <c r="D8" s="5">
        <f>SMALL('[1]GARA'!$M$6:$V$6,1)</f>
        <v>4.031527777777778</v>
      </c>
    </row>
  </sheetData>
  <sheetProtection/>
  <mergeCells count="3">
    <mergeCell ref="A1:B1"/>
    <mergeCell ref="C1:D1"/>
    <mergeCell ref="A3:D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4">
      <selection activeCell="B18" sqref="B18"/>
    </sheetView>
  </sheetViews>
  <sheetFormatPr defaultColWidth="9.140625" defaultRowHeight="15"/>
  <cols>
    <col min="1" max="1" width="13.7109375" style="0" bestFit="1" customWidth="1"/>
    <col min="2" max="2" width="42.00390625" style="0" bestFit="1" customWidth="1"/>
    <col min="4" max="4" width="10.140625" style="0" bestFit="1" customWidth="1"/>
  </cols>
  <sheetData>
    <row r="1" spans="1:4" ht="39">
      <c r="A1" s="6" t="s">
        <v>0</v>
      </c>
      <c r="B1" s="6"/>
      <c r="C1" s="7">
        <f>'[1]GARA'!A1</f>
        <v>2020</v>
      </c>
      <c r="D1" s="7"/>
    </row>
    <row r="3" spans="1:4" ht="24">
      <c r="A3" s="8" t="s">
        <v>8</v>
      </c>
      <c r="B3" s="9"/>
      <c r="C3" s="9"/>
      <c r="D3" s="9"/>
    </row>
    <row r="7" spans="1:4" ht="15">
      <c r="A7" s="1" t="s">
        <v>2</v>
      </c>
      <c r="B7" s="1" t="s">
        <v>3</v>
      </c>
      <c r="C7" s="1" t="s">
        <v>4</v>
      </c>
      <c r="D7" s="1" t="s">
        <v>5</v>
      </c>
    </row>
    <row r="8" spans="1:4" ht="21">
      <c r="A8" s="2">
        <v>1</v>
      </c>
      <c r="B8" s="3" t="str">
        <f>HLOOKUP(D8,'[1]GARA'!AG6:AU7,2,FALSE)</f>
        <v>Cavagna Nadir - Colli Gaia</v>
      </c>
      <c r="C8" s="4">
        <f>LARGE('[1]GARA'!$AG$8:$AU$8,1)</f>
        <v>9</v>
      </c>
      <c r="D8" s="5">
        <f>SMALL('[1]GARA'!$AG$6:$AU$6,1)</f>
        <v>1.0286226851851852</v>
      </c>
    </row>
    <row r="9" spans="1:4" ht="21">
      <c r="A9" s="2">
        <v>2</v>
      </c>
      <c r="B9" s="3" t="str">
        <f>HLOOKUP(D9,'[1]GARA'!AG6:AU7,2,FALSE)</f>
        <v>Bogliotti Lorenzo - Dentis Arianna</v>
      </c>
      <c r="C9" s="4">
        <f>LARGE('[1]GARA'!$AG$8:$AU$8,2)</f>
        <v>8</v>
      </c>
      <c r="D9" s="5">
        <f>SMALL('[1]GARA'!$AG$6:$AU$6,2)</f>
        <v>2.029212962962963</v>
      </c>
    </row>
    <row r="10" spans="1:4" ht="21">
      <c r="A10" s="2">
        <v>3</v>
      </c>
      <c r="B10" s="3" t="str">
        <f>HLOOKUP(D10,'[1]GARA'!AG6:AU7,2,FALSE)</f>
        <v>Giordanengo Graziano - Magro Eufemia</v>
      </c>
      <c r="C10" s="4">
        <f>LARGE('[1]GARA'!$AG$8:$AU$8,3)</f>
        <v>8</v>
      </c>
      <c r="D10" s="5">
        <f>SMALL('[1]GARA'!$AG$6:$AU$6,3)</f>
        <v>2.0308796296296294</v>
      </c>
    </row>
    <row r="11" spans="1:4" ht="21">
      <c r="A11" s="2">
        <v>4</v>
      </c>
      <c r="B11" s="3" t="str">
        <f>HLOOKUP(D11,'[1]GARA'!AG6:AU7,2,FALSE)</f>
        <v>Taliano Corrado - Almondo Elisa</v>
      </c>
      <c r="C11" s="4">
        <f>LARGE('[1]GARA'!$AG$8:$AU$8,4)</f>
        <v>8</v>
      </c>
      <c r="D11" s="5">
        <f>SMALL('[1]GARA'!$AG$6:$AU$6,4)</f>
        <v>2.0311458333333334</v>
      </c>
    </row>
    <row r="12" spans="1:4" ht="21">
      <c r="A12" s="2">
        <v>5</v>
      </c>
      <c r="B12" s="3" t="str">
        <f>HLOOKUP(D12,'[1]GARA'!AG6:AU7,2,FALSE)</f>
        <v>Da Ros Francesco - Olivero Damiana</v>
      </c>
      <c r="C12" s="4">
        <f>LARGE('[1]GARA'!$AG$8:$AU$8,5)</f>
        <v>7</v>
      </c>
      <c r="D12" s="5">
        <f>SMALL('[1]GARA'!$AG$6:$AU$6,5)</f>
        <v>3.0291087962962964</v>
      </c>
    </row>
    <row r="13" spans="1:4" ht="21">
      <c r="A13" s="2">
        <v>6</v>
      </c>
      <c r="B13" s="3" t="str">
        <f>HLOOKUP(D13,'[1]GARA'!AG6:AU7,2,FALSE)</f>
        <v>Filippi Luca - Barzelloni Paola</v>
      </c>
      <c r="C13" s="4">
        <f>LARGE('[1]GARA'!$AG$8:$AU$8,6)</f>
        <v>7</v>
      </c>
      <c r="D13" s="5">
        <f>SMALL('[1]GARA'!$AG$6:$AU$6,6)</f>
        <v>3.0307060185185186</v>
      </c>
    </row>
    <row r="14" spans="1:4" ht="21">
      <c r="A14" s="2">
        <v>7</v>
      </c>
      <c r="B14" s="3" t="str">
        <f>HLOOKUP(D14,'[1]GARA'!AG6:AU7,2,FALSE)</f>
        <v>Bologna Andrea - Bologna Irene </v>
      </c>
      <c r="C14" s="4">
        <f>LARGE('[1]GARA'!$AG$8:$AU$8,7)</f>
        <v>6</v>
      </c>
      <c r="D14" s="5">
        <f>SMALL('[1]GARA'!$AG$6:$AU$6,7)</f>
        <v>4.029166666666667</v>
      </c>
    </row>
  </sheetData>
  <sheetProtection/>
  <mergeCells count="3">
    <mergeCell ref="A1:B1"/>
    <mergeCell ref="C1:D1"/>
    <mergeCell ref="A3:D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13.7109375" style="0" bestFit="1" customWidth="1"/>
    <col min="2" max="2" width="41.7109375" style="0" bestFit="1" customWidth="1"/>
    <col min="4" max="4" width="10.140625" style="0" bestFit="1" customWidth="1"/>
  </cols>
  <sheetData>
    <row r="1" spans="1:4" ht="39">
      <c r="A1" s="6" t="s">
        <v>0</v>
      </c>
      <c r="B1" s="6"/>
      <c r="C1" s="7">
        <f>'[1]GARA'!A1</f>
        <v>2020</v>
      </c>
      <c r="D1" s="7"/>
    </row>
    <row r="3" spans="1:4" ht="24">
      <c r="A3" s="10" t="s">
        <v>9</v>
      </c>
      <c r="B3" s="11"/>
      <c r="C3" s="11"/>
      <c r="D3" s="11"/>
    </row>
    <row r="7" spans="1:4" ht="15">
      <c r="A7" s="1" t="s">
        <v>2</v>
      </c>
      <c r="B7" s="1" t="s">
        <v>3</v>
      </c>
      <c r="C7" s="1" t="s">
        <v>4</v>
      </c>
      <c r="D7" s="1" t="s">
        <v>5</v>
      </c>
    </row>
    <row r="8" spans="1:4" ht="21">
      <c r="A8" s="2">
        <v>1</v>
      </c>
      <c r="B8" s="3" t="str">
        <f>HLOOKUP(D8,'[1]GARA'!AV6:BO7,2,FALSE)</f>
        <v>Bonzi Nicola - Baldaccini Alex</v>
      </c>
      <c r="C8" s="4">
        <f>LARGE('[1]GARA'!$AV$8:$BO$8,1)</f>
        <v>10</v>
      </c>
      <c r="D8" s="5">
        <f>SMALL('[1]GARA'!$AV$6:$BO$6,1)</f>
        <v>0.03068287037037037</v>
      </c>
    </row>
    <row r="9" spans="1:4" ht="21">
      <c r="A9" s="2">
        <v>2</v>
      </c>
      <c r="B9" s="3" t="str">
        <f>HLOOKUP(D9,'[1]GARA'!AV6:BO7,2,FALSE)</f>
        <v>Dematteis Bernard - Dematteis Martin</v>
      </c>
      <c r="C9" s="4">
        <f>LARGE('[1]GARA'!$AV$8:$BO$8,2)</f>
        <v>10</v>
      </c>
      <c r="D9" s="5">
        <f>SMALL('[1]GARA'!$AV$6:$BO$6,2)</f>
        <v>0.030844907407407404</v>
      </c>
    </row>
    <row r="10" spans="1:4" ht="21">
      <c r="A10" s="2">
        <v>3</v>
      </c>
      <c r="B10" s="3" t="str">
        <f>HLOOKUP(D10,'[1]GARA'!AV6:BO7,2,FALSE)</f>
        <v>Cagnati Luca - Aymonod Henri</v>
      </c>
      <c r="C10" s="4">
        <f>LARGE('[1]GARA'!$AV$8:$BO$8,3)</f>
        <v>9</v>
      </c>
      <c r="D10" s="5">
        <f>SMALL('[1]GARA'!$AV$6:$BO$6,3)</f>
        <v>1.0281018518518519</v>
      </c>
    </row>
    <row r="11" spans="1:4" ht="21">
      <c r="A11" s="2">
        <v>4</v>
      </c>
      <c r="B11" s="3" t="str">
        <f>HLOOKUP(D11,'[1]GARA'!AV6:BO7,2,FALSE)</f>
        <v>Bacchion Gabriele - Olocco Giovanni</v>
      </c>
      <c r="C11" s="4">
        <f>LARGE('[1]GARA'!$AV$8:$BO$8,4)</f>
        <v>9</v>
      </c>
      <c r="D11" s="5">
        <f>SMALL('[1]GARA'!$AV$6:$BO$6,4)</f>
        <v>1.0282175925925925</v>
      </c>
    </row>
    <row r="12" spans="1:4" ht="21">
      <c r="A12" s="2">
        <v>5</v>
      </c>
      <c r="B12" s="3" t="str">
        <f>HLOOKUP(D12,'[1]GARA'!AV6:BO7,2,FALSE)</f>
        <v>Pelissero Andrea - Buti Nicolò</v>
      </c>
      <c r="C12" s="4">
        <f>LARGE('[1]GARA'!$AV$8:$BO$8,5)</f>
        <v>9</v>
      </c>
      <c r="D12" s="5">
        <f>SMALL('[1]GARA'!$AV$6:$BO$6,5)</f>
        <v>1.0286458333333333</v>
      </c>
    </row>
    <row r="13" spans="1:4" ht="21">
      <c r="A13" s="2">
        <v>6</v>
      </c>
      <c r="B13" s="3" t="str">
        <f>HLOOKUP(D13,'[1]GARA'!AV6:BO7,2,FALSE)</f>
        <v>Grandis Matteo - Grandis Andrea</v>
      </c>
      <c r="C13" s="4">
        <f>LARGE('[1]GARA'!$AV$8:$BO$8,6)</f>
        <v>9</v>
      </c>
      <c r="D13" s="5">
        <f>SMALL('[1]GARA'!$AV$6:$BO$6,6)</f>
        <v>1.0292708333333334</v>
      </c>
    </row>
    <row r="14" spans="1:4" ht="21">
      <c r="A14" s="2">
        <v>7</v>
      </c>
      <c r="B14" s="3" t="str">
        <f>HLOOKUP(D14,'[1]GARA'!AV6:BO7,2,FALSE)</f>
        <v>Cavagna Alain - Mostacchetti Nicola</v>
      </c>
      <c r="C14" s="4">
        <f>LARGE('[1]GARA'!$AV$8:$BO$8,7)</f>
        <v>9</v>
      </c>
      <c r="D14" s="5">
        <f>SMALL('[1]GARA'!$AV$6:$BO$6,7)</f>
        <v>1.0294328703703703</v>
      </c>
    </row>
    <row r="15" spans="1:4" ht="21">
      <c r="A15" s="2">
        <v>8</v>
      </c>
      <c r="B15" s="3" t="str">
        <f>HLOOKUP(D15,'[1]GARA'!AV6:BO7,2,FALSE)</f>
        <v>Vair Andrea - Pagano Daniele</v>
      </c>
      <c r="C15" s="4">
        <f>LARGE('[1]GARA'!$AV$8:$BO$8,8)</f>
        <v>9</v>
      </c>
      <c r="D15" s="5">
        <f>SMALL('[1]GARA'!$AV$6:$BO$6,8)</f>
        <v>1.0298726851851852</v>
      </c>
    </row>
    <row r="16" spans="1:4" ht="21">
      <c r="A16" s="2">
        <v>9</v>
      </c>
      <c r="B16" s="3" t="str">
        <f>HLOOKUP(D16,'[1]GARA'!AV6:BO7,2,FALSE)</f>
        <v>Borgesa Daniel - Pognat Gros Samuele</v>
      </c>
      <c r="C16" s="4">
        <f>LARGE('[1]GARA'!$AV$8:$BO$8,9)</f>
        <v>9</v>
      </c>
      <c r="D16" s="5">
        <f>SMALL('[1]GARA'!$AV$6:$BO$6,9)</f>
        <v>1.0300347222222221</v>
      </c>
    </row>
    <row r="17" spans="1:4" ht="21">
      <c r="A17" s="2">
        <v>10</v>
      </c>
      <c r="B17" s="3" t="str">
        <f>HLOOKUP(D17,'[1]GARA'!AV6:BO7,2,FALSE)</f>
        <v>Bouchard Nicholas - Stranieri Cosimo</v>
      </c>
      <c r="C17" s="4">
        <f>LARGE('[1]GARA'!$AV$8:$BO$8,10)</f>
        <v>9</v>
      </c>
      <c r="D17" s="5">
        <f>SMALL('[1]GARA'!$AV$6:$BO$6,10)</f>
        <v>1.0308101851851852</v>
      </c>
    </row>
    <row r="18" spans="1:4" ht="21">
      <c r="A18" s="2">
        <v>11</v>
      </c>
      <c r="B18" s="3" t="str">
        <f>HLOOKUP(D18,'[1]GARA'!AV6:BO7,2,FALSE)</f>
        <v>Zani Manuel - Zani Oscar</v>
      </c>
      <c r="C18" s="4">
        <f>LARGE('[1]GARA'!$AV$8:$BO$8,11)</f>
        <v>9</v>
      </c>
      <c r="D18" s="5">
        <f>SMALL('[1]GARA'!$AV$6:$BO$6,11)</f>
        <v>1.0308333333333333</v>
      </c>
    </row>
    <row r="19" spans="1:4" ht="21">
      <c r="A19" s="2">
        <v>12</v>
      </c>
      <c r="B19" s="3" t="str">
        <f>HLOOKUP(D19,'[1]GARA'!AV6:BO7,2,FALSE)</f>
        <v>Griglio Fabio - Galvagno Raul</v>
      </c>
      <c r="C19" s="4">
        <f>LARGE('[1]GARA'!$AV$8:$BO$8,12)</f>
        <v>8</v>
      </c>
      <c r="D19" s="5">
        <f>SMALL('[1]GARA'!$AV$6:$BO$6,12)</f>
        <v>2.027951388888889</v>
      </c>
    </row>
    <row r="20" spans="1:4" ht="21">
      <c r="A20" s="2">
        <v>13</v>
      </c>
      <c r="B20" s="3" t="str">
        <f>HLOOKUP(D20,'[1]GARA'!AV6:BO7,2,FALSE)</f>
        <v>Franzoso Stefano - Guglielmo Massimo</v>
      </c>
      <c r="C20" s="4">
        <f>LARGE('[1]GARA'!$AV$8:$BO$8,13)</f>
        <v>8</v>
      </c>
      <c r="D20" s="5">
        <f>SMALL('[1]GARA'!$AV$6:$BO$6,13)</f>
        <v>2.028611111111111</v>
      </c>
    </row>
    <row r="21" spans="1:4" ht="21">
      <c r="A21" s="2">
        <v>14</v>
      </c>
      <c r="B21" s="3" t="str">
        <f>HLOOKUP(D21,'[1]GARA'!AV6:BO7,2,FALSE)</f>
        <v>Eydallin Matteo - Menegon Alan</v>
      </c>
      <c r="C21" s="4">
        <f>LARGE('[1]GARA'!$AV$8:$BO$8,14)</f>
        <v>8</v>
      </c>
      <c r="D21" s="5">
        <f>SMALL('[1]GARA'!$AV$6:$BO$6,14)</f>
        <v>2.029189814814815</v>
      </c>
    </row>
    <row r="22" spans="1:4" ht="21">
      <c r="A22" s="2">
        <v>15</v>
      </c>
      <c r="B22" s="3" t="str">
        <f>HLOOKUP(D22,'[1]GARA'!AV6:BO7,2,FALSE)</f>
        <v>Gavello Denis - Bruno Gabriele</v>
      </c>
      <c r="C22" s="4">
        <f>LARGE('[1]GARA'!$AV$8:$BO$8,15)</f>
        <v>8</v>
      </c>
      <c r="D22" s="5">
        <f>SMALL('[1]GARA'!$AV$6:$BO$6,15)</f>
        <v>2.030648148148148</v>
      </c>
    </row>
    <row r="23" spans="1:4" ht="21">
      <c r="A23" s="2">
        <v>16</v>
      </c>
      <c r="B23" s="3" t="str">
        <f>HLOOKUP(D23,'[1]GARA'!AV6:BO7,2,FALSE)</f>
        <v>Rosa Clot Edoardo - Cerutti Edoardo</v>
      </c>
      <c r="C23" s="4">
        <f>LARGE('[1]GARA'!$AV$8:$BO$8,16)</f>
        <v>8</v>
      </c>
      <c r="D23" s="5">
        <f>SMALL('[1]GARA'!$AV$6:$BO$6,16)</f>
        <v>2.0315625</v>
      </c>
    </row>
    <row r="24" spans="1:4" ht="21">
      <c r="A24" s="2">
        <v>17</v>
      </c>
      <c r="B24" s="3" t="str">
        <f>HLOOKUP(D24,'[1]GARA'!AV6:BO7,2,FALSE)</f>
        <v>Bettoni Simone - Ramat Federico</v>
      </c>
      <c r="C24" s="4">
        <f>LARGE('[1]GARA'!$AV$8:$BO$8,17)</f>
        <v>7</v>
      </c>
      <c r="D24" s="5">
        <f>SMALL('[1]GARA'!$AV$6:$BO$6,17)</f>
        <v>3.0290393518518517</v>
      </c>
    </row>
  </sheetData>
  <sheetProtection/>
  <mergeCells count="3">
    <mergeCell ref="A1:B1"/>
    <mergeCell ref="C1:D1"/>
    <mergeCell ref="A3:D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3.7109375" style="0" bestFit="1" customWidth="1"/>
    <col min="2" max="2" width="51.8515625" style="0" customWidth="1"/>
    <col min="4" max="4" width="9.7109375" style="0" bestFit="1" customWidth="1"/>
  </cols>
  <sheetData>
    <row r="1" spans="1:4" ht="39">
      <c r="A1" s="6" t="s">
        <v>0</v>
      </c>
      <c r="B1" s="6"/>
      <c r="C1" s="7">
        <f>'[1]GARA'!A1</f>
        <v>2020</v>
      </c>
      <c r="D1" s="7"/>
    </row>
    <row r="3" spans="1:4" ht="24">
      <c r="A3" s="8" t="s">
        <v>10</v>
      </c>
      <c r="B3" s="9"/>
      <c r="C3" s="9"/>
      <c r="D3" s="9"/>
    </row>
    <row r="7" spans="1:4" ht="15">
      <c r="A7" s="1" t="s">
        <v>2</v>
      </c>
      <c r="B7" s="1" t="s">
        <v>3</v>
      </c>
      <c r="C7" s="1" t="s">
        <v>4</v>
      </c>
      <c r="D7" s="1" t="s">
        <v>5</v>
      </c>
    </row>
    <row r="8" spans="1:4" ht="21">
      <c r="A8" s="2">
        <v>1</v>
      </c>
      <c r="B8" s="3" t="str">
        <f>HLOOKUP(D8,'[1]GARA'!BP6:CI7,2,FALSE)</f>
        <v>Moretti Sergio - Molineri Luca</v>
      </c>
      <c r="C8" s="4">
        <f>LARGE('[1]GARA'!$BP$8:$CI$8,1)</f>
        <v>9</v>
      </c>
      <c r="D8" s="5">
        <f>SMALL('[1]GARA'!$BP$6:$CI$6,1)</f>
        <v>1.0314930555555555</v>
      </c>
    </row>
    <row r="9" spans="1:4" ht="21">
      <c r="A9" s="2">
        <v>2</v>
      </c>
      <c r="B9" s="3" t="str">
        <f>HLOOKUP(D9,'[1]GARA'!BP6:CI7,2,FALSE)</f>
        <v>Barberis Giovanni - Da Col Paolo</v>
      </c>
      <c r="C9" s="4">
        <f>LARGE('[1]GARA'!$BP$8:$CI$8,2)</f>
        <v>8</v>
      </c>
      <c r="D9" s="5">
        <f>SMALL('[1]GARA'!$BP$6:$CI$6,2)</f>
        <v>2.031203703703704</v>
      </c>
    </row>
    <row r="10" spans="1:4" ht="21">
      <c r="A10" s="2">
        <v>3</v>
      </c>
      <c r="B10" s="3" t="str">
        <f>HLOOKUP(D10,'[1]GARA'!BP6:CI7,2,FALSE)</f>
        <v>Montanari Cesare - Giorgi Fulvio</v>
      </c>
      <c r="C10" s="4">
        <f>LARGE('[1]GARA'!$BP$8:$CI$8,3)</f>
        <v>7</v>
      </c>
      <c r="D10" s="5">
        <f>SMALL('[1]GARA'!$BP$6:$CI$6,3)</f>
        <v>3.028599537037037</v>
      </c>
    </row>
    <row r="11" spans="1:4" ht="21">
      <c r="A11" s="2">
        <v>4</v>
      </c>
      <c r="B11" s="3" t="str">
        <f>HLOOKUP(D11,'[1]GARA'!BP6:CI7,2,FALSE)</f>
        <v>Verdoja Gabriele - Michiardi Stefano</v>
      </c>
      <c r="C11" s="4">
        <f>LARGE('[1]GARA'!$BP$8:$CI$8,4)</f>
        <v>7</v>
      </c>
      <c r="D11" s="5">
        <f>SMALL('[1]GARA'!$BP$6:$CI$6,4)</f>
        <v>3.031863425925926</v>
      </c>
    </row>
  </sheetData>
  <sheetProtection/>
  <mergeCells count="3">
    <mergeCell ref="A1:B1"/>
    <mergeCell ref="C1:D1"/>
    <mergeCell ref="A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13.7109375" style="0" bestFit="1" customWidth="1"/>
    <col min="2" max="2" width="53.7109375" style="0" customWidth="1"/>
    <col min="4" max="4" width="9.7109375" style="0" bestFit="1" customWidth="1"/>
  </cols>
  <sheetData>
    <row r="1" spans="1:4" ht="39">
      <c r="A1" s="6" t="s">
        <v>0</v>
      </c>
      <c r="B1" s="6"/>
      <c r="C1" s="7">
        <f>'[1]GARA'!A1</f>
        <v>2020</v>
      </c>
      <c r="D1" s="7"/>
    </row>
    <row r="3" spans="1:4" ht="24">
      <c r="A3" s="8" t="s">
        <v>11</v>
      </c>
      <c r="B3" s="9"/>
      <c r="C3" s="9"/>
      <c r="D3" s="9"/>
    </row>
    <row r="7" spans="1:4" ht="15">
      <c r="A7" s="1" t="s">
        <v>2</v>
      </c>
      <c r="B7" s="1" t="s">
        <v>3</v>
      </c>
      <c r="C7" s="1" t="s">
        <v>4</v>
      </c>
      <c r="D7" s="1" t="s">
        <v>5</v>
      </c>
    </row>
    <row r="8" spans="1:4" ht="21">
      <c r="A8" s="2">
        <v>1</v>
      </c>
      <c r="B8" s="3" t="str">
        <f>HLOOKUP(D8,'[1]GARA'!CJ6:DC7,2,FALSE)</f>
        <v>Azzalin Luigino - Minuz Maurizio</v>
      </c>
      <c r="C8" s="4">
        <f>LARGE('[1]GARA'!$CJ$8:$DC$8,1)</f>
        <v>7</v>
      </c>
      <c r="D8" s="5">
        <f>SMALL('[1]GARA'!$CJ$6:$DC$6,1)</f>
        <v>3.0297337962962962</v>
      </c>
    </row>
    <row r="9" spans="1:4" ht="21">
      <c r="A9" s="2">
        <v>2</v>
      </c>
      <c r="B9" s="3" t="str">
        <f>HLOOKUP(D9,'[1]GARA'!CJ6:DC7,2,FALSE)</f>
        <v>Gentile Aldo - Ortuso Domenico</v>
      </c>
      <c r="C9" s="4">
        <f>LARGE('[1]GARA'!$CJ$8:$DC$8,2)</f>
        <v>7</v>
      </c>
      <c r="D9" s="5">
        <f>SMALL('[1]GARA'!$CJ$6:$DC$6,2)</f>
        <v>3.0299305555555556</v>
      </c>
    </row>
    <row r="10" spans="1:4" ht="21">
      <c r="A10" s="2">
        <v>3</v>
      </c>
      <c r="B10" s="3" t="str">
        <f>HLOOKUP(D10,'[1]GARA'!CJ6:DC7,2,FALSE)</f>
        <v>Tosa Raffaello - Fontan Pierpaolo</v>
      </c>
      <c r="C10" s="4">
        <f>LARGE('[1]GARA'!$CJ$8:$DC$8,3)</f>
        <v>7</v>
      </c>
      <c r="D10" s="5">
        <f>SMALL('[1]GARA'!$CJ$6:$DC$6,3)</f>
        <v>3.0307523148148148</v>
      </c>
    </row>
    <row r="11" spans="1:4" ht="21">
      <c r="A11" s="2">
        <v>4</v>
      </c>
      <c r="B11" s="3" t="str">
        <f>HLOOKUP(D11,'[1]GARA'!CJ6:DC7,2,FALSE)</f>
        <v>Fontan Giulio - Humbert Lello</v>
      </c>
      <c r="C11" s="4">
        <f>LARGE('[1]GARA'!$CJ$8:$DC$8,4)</f>
        <v>6</v>
      </c>
      <c r="D11" s="5">
        <f>SMALL('[1]GARA'!$CJ$6:$DC$6,4)</f>
        <v>4.028819444444444</v>
      </c>
    </row>
    <row r="12" spans="1:4" ht="21">
      <c r="A12" s="2">
        <v>5</v>
      </c>
      <c r="B12" s="3" t="str">
        <f>HLOOKUP(D12,'[1]GARA'!CJ6:DC7,2,FALSE)</f>
        <v>Crosio Daniele - Chiappello Sergio</v>
      </c>
      <c r="C12" s="4">
        <f>LARGE('[1]GARA'!$CJ$8:$DC$8,5)</f>
        <v>6</v>
      </c>
      <c r="D12" s="5">
        <f>SMALL('[1]GARA'!$CJ$6:$DC$6,5)</f>
        <v>4.029293981481482</v>
      </c>
    </row>
    <row r="13" spans="1:4" ht="21">
      <c r="A13" s="2">
        <v>6</v>
      </c>
      <c r="B13" s="3" t="str">
        <f>HLOOKUP(D13,'[1]GARA'!CJ6:DC7,2,FALSE)</f>
        <v>Giacone Michele - Barra Gabriele</v>
      </c>
      <c r="C13" s="4">
        <f>LARGE('[1]GARA'!$CJ$8:$DC$8,6)</f>
        <v>6</v>
      </c>
      <c r="D13" s="5">
        <f>SMALL('[1]GARA'!$CJ$6:$DC$6,6)</f>
        <v>4.030208333333333</v>
      </c>
    </row>
  </sheetData>
  <sheetProtection/>
  <mergeCells count="3">
    <mergeCell ref="A1:B1"/>
    <mergeCell ref="C1:D1"/>
    <mergeCell ref="A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2015-06-05T18:19:34Z</dcterms:created>
  <dcterms:modified xsi:type="dcterms:W3CDTF">2020-07-20T08:28:12Z</dcterms:modified>
  <cp:category/>
  <cp:version/>
  <cp:contentType/>
  <cp:contentStatus/>
</cp:coreProperties>
</file>